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925" yWindow="150" windowWidth="18960" windowHeight="11325" tabRatio="428" activeTab="1"/>
  </bookViews>
  <sheets>
    <sheet name="INPUT" sheetId="6" r:id="rId1"/>
    <sheet name="Output" sheetId="1" r:id="rId2"/>
  </sheets>
  <calcPr calcId="145621"/>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<sst xmlns="http://schemas.openxmlformats.org/spreadsheetml/2006/main" count="76" uniqueCount="40">
  <si>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</si>
  <si>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</si>
  <si>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</si>
  <si>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</si>
  <si>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</si>
  <si>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</si>
  <si>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</si>
  <si>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</si>
  <si>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</si>
  <si>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</si>
  <si>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</si>
  <si>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</si>
  <si>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</si>
  <si>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</si>
  <si>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</si>
  <si>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</si>
  <si>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</si>
  <si>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</si>
  <si>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</si>
  <si>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</si>
  <si>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</si>
  <si>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</si>
  <si>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</si>
  <si>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</si>
  <si>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</si>
  <si>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</si>
  <si>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</si>
  <si>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</si>
  <si>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</si>
  <si>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</si>
  <si>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</si>
  <si>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</si>
  <si>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</si>
  <si>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</si>
  <si>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</si>
  <si>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</si>
  <si>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</si>
  <si>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</si>
  <si>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September 25, 2015.</t>
  </si>
  <si>
    <t>CSX Transportation Inc.'s quarter ended on September 26,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</si>
</sst>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44">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Normal="100" workbookViewId="0">
      <selection activeCell="H35" sqref="H35"/>
    </sheetView>
  </sheetViews>
  <sheetFormatPr defaultRowHeight="11.25" x14ac:dyDescent="0.2"/>
  <cols>
    <col min="1" max="1" width="32" style="6" customWidth="1"/>
    <col min="2" max="2" width="10.5" style="6" bestFit="1" customWidth="1"/>
    <col min="3" max="3" width="9.33203125" style="6" bestFit="1" customWidth="1"/>
    <col min="4" max="4" width="9.6640625" style="6" bestFit="1" customWidth="1"/>
    <col min="5" max="5" width="12.5" style="6" bestFit="1" customWidth="1"/>
    <col min="6" max="12" width="9" style="6" bestFit="1" customWidth="1"/>
    <col min="13" max="13" width="8.83203125" style="6" bestFit="1" customWidth="1"/>
    <col min="14" max="16" width="9" style="6" bestFit="1" customWidth="1"/>
    <col min="17" max="17" width="8" style="6" bestFit="1" customWidth="1"/>
    <col min="18" max="18" width="8.83203125" style="6" bestFit="1" customWidth="1"/>
    <col min="19"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35</v>
      </c>
      <c r="B1" s="11"/>
      <c r="C1" s="38" t="s">
        <v>38</v>
      </c>
      <c r="D1" s="38"/>
      <c r="E1" s="38"/>
      <c r="F1" s="38"/>
    </row>
    <row r="2" spans="1:36" ht="30" x14ac:dyDescent="0.2">
      <c r="A2" s="31" t="s">
        <v>14</v>
      </c>
      <c r="B2" s="11"/>
      <c r="C2" s="38" t="s">
        <v>39</v>
      </c>
      <c r="D2" s="38"/>
      <c r="E2" s="38"/>
      <c r="F2" s="38"/>
    </row>
    <row r="3" spans="1:36" x14ac:dyDescent="0.2">
      <c r="A3" s="25">
        <v>2015</v>
      </c>
    </row>
    <row r="4" spans="1:36" ht="12" thickBot="1" x14ac:dyDescent="0.25">
      <c r="A4" s="25">
        <f>A3-1</f>
        <v>2014</v>
      </c>
    </row>
    <row r="5" spans="1:36" s="9" customFormat="1" ht="12" thickBot="1" x14ac:dyDescent="0.25">
      <c r="A5" s="8"/>
      <c r="B5" s="32" t="s">
        <v>18</v>
      </c>
      <c r="C5" s="33"/>
      <c r="D5" s="33"/>
      <c r="E5" s="33"/>
      <c r="F5" s="34"/>
      <c r="G5" s="32" t="s">
        <v>19</v>
      </c>
      <c r="H5" s="33"/>
      <c r="I5" s="33"/>
      <c r="J5" s="33"/>
      <c r="K5" s="34"/>
      <c r="L5" s="35" t="s">
        <v>33</v>
      </c>
      <c r="M5" s="36"/>
      <c r="N5" s="36"/>
      <c r="O5" s="36"/>
      <c r="P5" s="37"/>
      <c r="Q5" s="32" t="s">
        <v>20</v>
      </c>
      <c r="R5" s="33"/>
      <c r="S5" s="33"/>
      <c r="T5" s="33"/>
      <c r="U5" s="34"/>
      <c r="V5" s="32" t="s">
        <v>21</v>
      </c>
      <c r="W5" s="33"/>
      <c r="X5" s="33"/>
      <c r="Y5" s="33"/>
      <c r="Z5" s="34"/>
      <c r="AA5" s="35" t="s">
        <v>34</v>
      </c>
      <c r="AB5" s="36"/>
      <c r="AC5" s="36"/>
      <c r="AD5" s="36"/>
      <c r="AE5" s="37"/>
      <c r="AF5" s="35" t="s">
        <v>22</v>
      </c>
      <c r="AG5" s="36"/>
      <c r="AH5" s="36"/>
      <c r="AI5" s="36"/>
      <c r="AJ5" s="37"/>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30" customFormat="1" x14ac:dyDescent="0.2">
      <c r="A12" s="12" t="s">
        <v>35</v>
      </c>
      <c r="B12" s="20">
        <v>688381</v>
      </c>
      <c r="C12" s="18">
        <v>370876</v>
      </c>
      <c r="D12" s="18">
        <v>-33139</v>
      </c>
      <c r="E12" s="18">
        <v>303130</v>
      </c>
      <c r="F12" s="22">
        <v>9329</v>
      </c>
      <c r="G12" s="20">
        <v>218189.85860000001</v>
      </c>
      <c r="H12" s="18">
        <v>124137</v>
      </c>
      <c r="I12" s="18">
        <v>-38919.329299999998</v>
      </c>
      <c r="J12" s="18">
        <v>127501</v>
      </c>
      <c r="K12" s="22">
        <v>647</v>
      </c>
      <c r="L12" s="20">
        <v>47995</v>
      </c>
      <c r="M12" s="18">
        <v>25675</v>
      </c>
      <c r="N12" s="18">
        <v>-10165</v>
      </c>
      <c r="O12" s="18">
        <v>24486</v>
      </c>
      <c r="P12" s="22">
        <v>1930</v>
      </c>
      <c r="Q12" s="20">
        <v>31141</v>
      </c>
      <c r="R12" s="18">
        <v>17819</v>
      </c>
      <c r="S12" s="18">
        <v>2814</v>
      </c>
      <c r="T12" s="18">
        <v>16841</v>
      </c>
      <c r="U12" s="22">
        <v>3388</v>
      </c>
      <c r="V12" s="20">
        <v>226239</v>
      </c>
      <c r="W12" s="18">
        <v>127415</v>
      </c>
      <c r="X12" s="18">
        <v>-33615</v>
      </c>
      <c r="Y12" s="18">
        <v>113470</v>
      </c>
      <c r="Z12" s="22">
        <v>387</v>
      </c>
      <c r="AA12" s="20">
        <v>29720.146000000001</v>
      </c>
      <c r="AB12" s="18">
        <v>16711.988000000001</v>
      </c>
      <c r="AC12" s="18">
        <v>-10884.284</v>
      </c>
      <c r="AD12" s="18">
        <v>14148.878830000001</v>
      </c>
      <c r="AE12" s="22">
        <v>5229.5266600000004</v>
      </c>
      <c r="AF12" s="20">
        <v>483764</v>
      </c>
      <c r="AG12" s="18">
        <v>271611</v>
      </c>
      <c r="AH12" s="18">
        <v>-56670</v>
      </c>
      <c r="AI12" s="18">
        <v>314055</v>
      </c>
      <c r="AJ12" s="22">
        <v>32402</v>
      </c>
    </row>
    <row r="13" spans="1:36" x14ac:dyDescent="0.2">
      <c r="A13" s="10" t="s">
        <v>24</v>
      </c>
      <c r="B13" s="19"/>
      <c r="C13" s="17"/>
      <c r="D13" s="17"/>
      <c r="E13" s="17"/>
      <c r="F13" s="21"/>
      <c r="G13" s="19"/>
      <c r="H13" s="17"/>
      <c r="I13" s="17"/>
      <c r="J13" s="17"/>
      <c r="K13" s="21"/>
      <c r="L13" s="19"/>
      <c r="M13" s="17"/>
      <c r="N13" s="17"/>
      <c r="O13" s="17"/>
      <c r="P13" s="21"/>
      <c r="Q13" s="19"/>
      <c r="R13" s="17"/>
      <c r="S13" s="17"/>
      <c r="T13" s="17"/>
      <c r="U13" s="21"/>
      <c r="V13" s="19"/>
      <c r="W13" s="17"/>
      <c r="X13" s="17"/>
      <c r="Y13" s="17"/>
      <c r="Z13" s="21"/>
      <c r="AA13" s="19"/>
      <c r="AB13" s="17"/>
      <c r="AC13" s="17"/>
      <c r="AD13" s="17"/>
      <c r="AE13" s="21"/>
      <c r="AF13" s="19"/>
      <c r="AG13" s="17"/>
      <c r="AH13" s="17"/>
      <c r="AI13" s="17"/>
      <c r="AJ13" s="21"/>
    </row>
    <row r="14" spans="1:36" x14ac:dyDescent="0.2">
      <c r="A14" s="10" t="s">
        <v>25</v>
      </c>
      <c r="B14" s="19"/>
      <c r="C14" s="17"/>
      <c r="D14" s="17"/>
      <c r="E14" s="17"/>
      <c r="F14" s="21"/>
      <c r="G14" s="19"/>
      <c r="H14" s="17"/>
      <c r="I14" s="17"/>
      <c r="J14" s="17"/>
      <c r="K14" s="21"/>
      <c r="L14" s="19"/>
      <c r="M14" s="17"/>
      <c r="N14" s="17"/>
      <c r="O14" s="17"/>
      <c r="P14" s="21"/>
      <c r="Q14" s="19"/>
      <c r="R14" s="17"/>
      <c r="S14" s="17"/>
      <c r="T14" s="17"/>
      <c r="U14" s="21"/>
      <c r="V14" s="19"/>
      <c r="W14" s="17"/>
      <c r="X14" s="17"/>
      <c r="Y14" s="17"/>
      <c r="Z14" s="21"/>
      <c r="AA14" s="19"/>
      <c r="AB14" s="17"/>
      <c r="AC14" s="17"/>
      <c r="AD14" s="17"/>
      <c r="AE14" s="21"/>
      <c r="AF14" s="19"/>
      <c r="AG14" s="17"/>
      <c r="AH14" s="17"/>
      <c r="AI14" s="17"/>
      <c r="AJ14" s="21"/>
    </row>
    <row r="15" spans="1:36" x14ac:dyDescent="0.2">
      <c r="A15" s="10" t="s">
        <v>26</v>
      </c>
      <c r="B15" s="19"/>
      <c r="C15" s="17"/>
      <c r="D15" s="17"/>
      <c r="E15" s="17"/>
      <c r="F15" s="21"/>
      <c r="G15" s="19"/>
      <c r="H15" s="17"/>
      <c r="I15" s="17"/>
      <c r="J15" s="17"/>
      <c r="K15" s="21"/>
      <c r="L15" s="19"/>
      <c r="M15" s="17"/>
      <c r="N15" s="17"/>
      <c r="O15" s="17"/>
      <c r="P15" s="21"/>
      <c r="Q15" s="19"/>
      <c r="R15" s="17"/>
      <c r="S15" s="17"/>
      <c r="T15" s="17"/>
      <c r="U15" s="21"/>
      <c r="V15" s="19"/>
      <c r="W15" s="17"/>
      <c r="X15" s="17"/>
      <c r="Y15" s="17"/>
      <c r="Z15" s="21"/>
      <c r="AA15" s="19"/>
      <c r="AB15" s="17"/>
      <c r="AC15" s="17"/>
      <c r="AD15" s="17"/>
      <c r="AE15" s="21"/>
      <c r="AF15" s="19"/>
      <c r="AG15" s="17"/>
      <c r="AH15" s="17"/>
      <c r="AI15" s="17"/>
      <c r="AJ15" s="21"/>
    </row>
    <row r="16" spans="1:36" x14ac:dyDescent="0.2">
      <c r="A16" s="10" t="s">
        <v>36</v>
      </c>
      <c r="B16" s="19"/>
      <c r="C16" s="17"/>
      <c r="D16" s="17"/>
      <c r="E16" s="17"/>
      <c r="F16" s="21"/>
      <c r="G16" s="19"/>
      <c r="H16" s="17"/>
      <c r="I16" s="17"/>
      <c r="J16" s="17"/>
      <c r="K16" s="21"/>
      <c r="L16" s="19"/>
      <c r="M16" s="17"/>
      <c r="N16" s="17"/>
      <c r="O16" s="17"/>
      <c r="P16" s="21"/>
      <c r="Q16" s="19"/>
      <c r="R16" s="17"/>
      <c r="S16" s="17"/>
      <c r="T16" s="17"/>
      <c r="U16" s="21"/>
      <c r="V16" s="19"/>
      <c r="W16" s="17"/>
      <c r="X16" s="17"/>
      <c r="Y16" s="17"/>
      <c r="Z16" s="21"/>
      <c r="AA16" s="19"/>
      <c r="AB16" s="17"/>
      <c r="AC16" s="17"/>
      <c r="AD16" s="17"/>
      <c r="AE16" s="21"/>
      <c r="AF16" s="19"/>
      <c r="AG16" s="17"/>
      <c r="AH16" s="17"/>
      <c r="AI16" s="17"/>
      <c r="AJ16" s="21"/>
    </row>
    <row r="17" spans="1:36" x14ac:dyDescent="0.2">
      <c r="A17" s="10" t="s">
        <v>27</v>
      </c>
      <c r="B17" s="19"/>
      <c r="C17" s="17"/>
      <c r="D17" s="17"/>
      <c r="E17" s="17"/>
      <c r="F17" s="21"/>
      <c r="G17" s="19"/>
      <c r="H17" s="17"/>
      <c r="I17" s="17"/>
      <c r="J17" s="17"/>
      <c r="K17" s="21"/>
      <c r="L17" s="19"/>
      <c r="M17" s="17"/>
      <c r="N17" s="17"/>
      <c r="O17" s="17"/>
      <c r="P17" s="21"/>
      <c r="Q17" s="19"/>
      <c r="R17" s="17"/>
      <c r="S17" s="17"/>
      <c r="T17" s="17"/>
      <c r="U17" s="21"/>
      <c r="V17" s="19"/>
      <c r="W17" s="17"/>
      <c r="X17" s="17"/>
      <c r="Y17" s="17"/>
      <c r="Z17" s="21"/>
      <c r="AA17" s="19"/>
      <c r="AB17" s="17"/>
      <c r="AC17" s="17"/>
      <c r="AD17" s="17"/>
      <c r="AE17" s="21"/>
      <c r="AF17" s="19"/>
      <c r="AG17" s="17"/>
      <c r="AH17" s="17"/>
      <c r="AI17" s="17"/>
      <c r="AJ17" s="21"/>
    </row>
    <row r="18" spans="1:36" x14ac:dyDescent="0.2">
      <c r="A18" s="10" t="s">
        <v>28</v>
      </c>
      <c r="B18" s="19"/>
      <c r="C18" s="17"/>
      <c r="D18" s="17"/>
      <c r="E18" s="17"/>
      <c r="F18" s="21"/>
      <c r="G18" s="19"/>
      <c r="H18" s="17"/>
      <c r="I18" s="17"/>
      <c r="J18" s="17"/>
      <c r="K18" s="21"/>
      <c r="L18" s="19"/>
      <c r="M18" s="17"/>
      <c r="N18" s="17"/>
      <c r="O18" s="17"/>
      <c r="P18" s="21"/>
      <c r="Q18" s="19"/>
      <c r="R18" s="17"/>
      <c r="S18" s="17"/>
      <c r="T18" s="17"/>
      <c r="U18" s="21"/>
      <c r="V18" s="19"/>
      <c r="W18" s="17"/>
      <c r="X18" s="17"/>
      <c r="Y18" s="17"/>
      <c r="Z18" s="21"/>
      <c r="AA18" s="19"/>
      <c r="AB18" s="17"/>
      <c r="AC18" s="17"/>
      <c r="AD18" s="17"/>
      <c r="AE18" s="21"/>
      <c r="AF18" s="19"/>
      <c r="AG18" s="17"/>
      <c r="AH18" s="17"/>
      <c r="AI18" s="17"/>
      <c r="AJ18" s="21"/>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disablePrompts="1"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K12" sqref="K12"/>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1" t="s">
        <v>0</v>
      </c>
      <c r="B1" s="41"/>
      <c r="C1" s="41"/>
      <c r="D1" s="41"/>
      <c r="E1" s="41"/>
      <c r="F1" s="41"/>
      <c r="G1" s="41"/>
    </row>
    <row r="2" spans="1:7" ht="15.95" customHeight="1" x14ac:dyDescent="0.2">
      <c r="A2" s="41" t="s">
        <v>1</v>
      </c>
      <c r="B2" s="41"/>
      <c r="C2" s="41"/>
      <c r="D2" s="41"/>
      <c r="E2" s="41"/>
      <c r="F2" s="41"/>
      <c r="G2" s="41"/>
    </row>
    <row r="3" spans="1:7" ht="72" customHeight="1" x14ac:dyDescent="0.2">
      <c r="A3" s="2"/>
      <c r="B3" s="3" t="str">
        <f>INPUT!A1&amp;"*"</f>
        <v>QUARTER ENDED SEPTEMBER 30 2015*</v>
      </c>
      <c r="C3" s="4" t="s">
        <v>2</v>
      </c>
      <c r="D3" s="4" t="s">
        <v>3</v>
      </c>
      <c r="E3" s="4" t="s">
        <v>4</v>
      </c>
      <c r="F3" s="4" t="s">
        <v>5</v>
      </c>
      <c r="G3" s="4" t="s">
        <v>6</v>
      </c>
    </row>
    <row r="4" spans="1:7" ht="27.95" customHeight="1" x14ac:dyDescent="0.2">
      <c r="A4" s="39" t="s">
        <v>7</v>
      </c>
      <c r="B4" s="3">
        <f>INPUT!A3</f>
        <v>2015</v>
      </c>
      <c r="C4" s="24">
        <f>VLOOKUP(INPUT!$A$1,INPUT!$A$5:$AJ$21,2,FALSE)</f>
        <v>688381</v>
      </c>
      <c r="D4" s="24">
        <f>VLOOKUP(INPUT!$A$1,INPUT!$A$5:$AJ$21,3,FALSE)</f>
        <v>370876</v>
      </c>
      <c r="E4" s="26">
        <f>VLOOKUP(INPUT!$A$1,INPUT!$A$5:$AJ$21,4,FALSE)</f>
        <v>-33139</v>
      </c>
      <c r="F4" s="24">
        <f>VLOOKUP(INPUT!$A$1,INPUT!$A$5:$AJ$21,5,FALSE)</f>
        <v>303130</v>
      </c>
      <c r="G4" s="24">
        <f>VLOOKUP(INPUT!$A$1,INPUT!$A$5:$AJ$21,6,FALSE)</f>
        <v>9329</v>
      </c>
    </row>
    <row r="5" spans="1:7" ht="27.95" customHeight="1" x14ac:dyDescent="0.2">
      <c r="A5" s="40"/>
      <c r="B5" s="3">
        <f>INPUT!A4</f>
        <v>2014</v>
      </c>
      <c r="C5" s="24">
        <f>VLOOKUP(INPUT!$A$2,INPUT!$A$5:$AJ$21,2,FALSE)</f>
        <v>1149044</v>
      </c>
      <c r="D5" s="24">
        <f>VLOOKUP(INPUT!$A$2,INPUT!$A$5:$AJ$21,3,FALSE)</f>
        <v>372196</v>
      </c>
      <c r="E5" s="26">
        <f>VLOOKUP(INPUT!$A$2,INPUT!$A$5:$AJ$21,4,FALSE)</f>
        <v>-30073</v>
      </c>
      <c r="F5" s="24">
        <f>VLOOKUP(INPUT!$A$2,INPUT!$A$5:$AJ$21,5,FALSE)</f>
        <v>740642</v>
      </c>
      <c r="G5" s="24">
        <f>VLOOKUP(INPUT!$A$2,INPUT!$A$5:$AJ$21,6,FALSE)</f>
        <v>114729</v>
      </c>
    </row>
    <row r="6" spans="1:7" ht="27.95" customHeight="1" x14ac:dyDescent="0.2">
      <c r="A6" s="42" t="s">
        <v>19</v>
      </c>
      <c r="B6" s="3">
        <f>$B$4</f>
        <v>2015</v>
      </c>
      <c r="C6" s="24">
        <f>VLOOKUP(INPUT!$A$1,INPUT!$A$5:$AJ$21,7,FALSE)</f>
        <v>218189.85860000001</v>
      </c>
      <c r="D6" s="24">
        <f>VLOOKUP(INPUT!$A$1,INPUT!$A$5:$AJ$21,8,FALSE)</f>
        <v>124137</v>
      </c>
      <c r="E6" s="26">
        <f>VLOOKUP(INPUT!$A$1,INPUT!$A$5:$AJ$21,9,FALSE)</f>
        <v>-38919.329299999998</v>
      </c>
      <c r="F6" s="24">
        <f>VLOOKUP(INPUT!$A$1,INPUT!$A$5:$AJ$21,10,FALSE)</f>
        <v>127501</v>
      </c>
      <c r="G6" s="24">
        <f>VLOOKUP(INPUT!$A$1,INPUT!$A$5:$AJ$21,11,FALSE)</f>
        <v>647</v>
      </c>
    </row>
    <row r="7" spans="1:7" ht="27.95" customHeight="1" x14ac:dyDescent="0.2">
      <c r="A7" s="43"/>
      <c r="B7" s="3">
        <f>$B$5</f>
        <v>2014</v>
      </c>
      <c r="C7" s="24">
        <f>VLOOKUP(INPUT!$A$2,INPUT!$A$5:$AJ$21,7,FALSE)</f>
        <v>385503</v>
      </c>
      <c r="D7" s="24">
        <f>VLOOKUP(INPUT!$A$2,INPUT!$A$5:$AJ$21,8,FALSE)</f>
        <v>128305</v>
      </c>
      <c r="E7" s="26">
        <f>VLOOKUP(INPUT!$A$2,INPUT!$A$5:$AJ$21,9,FALSE)</f>
        <v>-21600</v>
      </c>
      <c r="F7" s="24">
        <f>VLOOKUP(INPUT!$A$2,INPUT!$A$5:$AJ$21,10,FALSE)</f>
        <v>302820</v>
      </c>
      <c r="G7" s="24">
        <f>VLOOKUP(INPUT!$A$2,INPUT!$A$5:$AJ$21,11,FALSE)</f>
        <v>14506</v>
      </c>
    </row>
    <row r="8" spans="1:7" ht="27.95" customHeight="1" x14ac:dyDescent="0.2">
      <c r="A8" s="39" t="s">
        <v>8</v>
      </c>
      <c r="B8" s="3">
        <f>$B$4</f>
        <v>2015</v>
      </c>
      <c r="C8" s="24">
        <f>VLOOKUP(INPUT!$A$1,INPUT!$A$5:$AJ$21,12,FALSE)</f>
        <v>47995</v>
      </c>
      <c r="D8" s="24">
        <f>VLOOKUP(INPUT!$A$1,INPUT!$A$5:$AJ$21,13,FALSE)</f>
        <v>25675</v>
      </c>
      <c r="E8" s="26">
        <f>VLOOKUP(INPUT!$A$1,INPUT!$A$5:$AJ$21,14,FALSE)</f>
        <v>-10165</v>
      </c>
      <c r="F8" s="24">
        <f>VLOOKUP(INPUT!$A$1,INPUT!$A$5:$AJ$21,15,FALSE)</f>
        <v>24486</v>
      </c>
      <c r="G8" s="24">
        <f>VLOOKUP(INPUT!$A$1,INPUT!$A$5:$AJ$21,16,FALSE)</f>
        <v>1930</v>
      </c>
    </row>
    <row r="9" spans="1:7" ht="27.95" customHeight="1" x14ac:dyDescent="0.2">
      <c r="A9" s="40"/>
      <c r="B9" s="3">
        <f>$B$5</f>
        <v>2014</v>
      </c>
      <c r="C9" s="24">
        <f>VLOOKUP(INPUT!$A$2,INPUT!$A$5:$AJ$21,12,FALSE)</f>
        <v>95689</v>
      </c>
      <c r="D9" s="24">
        <f>VLOOKUP(INPUT!$A$2,INPUT!$A$5:$AJ$21,13,FALSE)</f>
        <v>28162</v>
      </c>
      <c r="E9" s="26">
        <f>VLOOKUP(INPUT!$A$2,INPUT!$A$5:$AJ$21,14,FALSE)</f>
        <v>-11359</v>
      </c>
      <c r="F9" s="24">
        <f>VLOOKUP(INPUT!$A$2,INPUT!$A$5:$AJ$21,15,FALSE)</f>
        <v>66047</v>
      </c>
      <c r="G9" s="24">
        <f>VLOOKUP(INPUT!$A$2,INPUT!$A$5:$AJ$21,16,FALSE)</f>
        <v>5529</v>
      </c>
    </row>
    <row r="10" spans="1:7" ht="27.95" customHeight="1" x14ac:dyDescent="0.2">
      <c r="A10" s="39" t="s">
        <v>9</v>
      </c>
      <c r="B10" s="3">
        <f>$B$4</f>
        <v>2015</v>
      </c>
      <c r="C10" s="24">
        <f>VLOOKUP(INPUT!$A$1,INPUT!$A$5:$AJ$21,17,FALSE)</f>
        <v>31141</v>
      </c>
      <c r="D10" s="24">
        <f>VLOOKUP(INPUT!$A$1,INPUT!$A$5:$AJ$21,18,FALSE)</f>
        <v>17819</v>
      </c>
      <c r="E10" s="26">
        <f>VLOOKUP(INPUT!$A$1,INPUT!$A$5:$AJ$21,19,FALSE)</f>
        <v>2814</v>
      </c>
      <c r="F10" s="24">
        <f>VLOOKUP(INPUT!$A$1,INPUT!$A$5:$AJ$21,20,FALSE)</f>
        <v>16841</v>
      </c>
      <c r="G10" s="24">
        <f>VLOOKUP(INPUT!$A$1,INPUT!$A$5:$AJ$21,21,FALSE)</f>
        <v>3388</v>
      </c>
    </row>
    <row r="11" spans="1:7" ht="27.95" customHeight="1" x14ac:dyDescent="0.2">
      <c r="A11" s="40"/>
      <c r="B11" s="3">
        <f>$B$5</f>
        <v>2014</v>
      </c>
      <c r="C11" s="24">
        <f>VLOOKUP(INPUT!$A$2,INPUT!$A$5:$AJ$21,17,FALSE)</f>
        <v>55777</v>
      </c>
      <c r="D11" s="24">
        <f>VLOOKUP(INPUT!$A$2,INPUT!$A$5:$AJ$21,18,FALSE)</f>
        <v>18985</v>
      </c>
      <c r="E11" s="26">
        <f>VLOOKUP(INPUT!$A$2,INPUT!$A$5:$AJ$21,19,FALSE)</f>
        <v>1326</v>
      </c>
      <c r="F11" s="24">
        <f>VLOOKUP(INPUT!$A$2,INPUT!$A$5:$AJ$21,20,FALSE)</f>
        <v>39686</v>
      </c>
      <c r="G11" s="24">
        <f>VLOOKUP(INPUT!$A$2,INPUT!$A$5:$AJ$21,21,FALSE)</f>
        <v>8171</v>
      </c>
    </row>
    <row r="12" spans="1:7" ht="27.95" customHeight="1" x14ac:dyDescent="0.2">
      <c r="A12" s="39" t="s">
        <v>10</v>
      </c>
      <c r="B12" s="3">
        <f>$B$4</f>
        <v>2015</v>
      </c>
      <c r="C12" s="24">
        <f>VLOOKUP(INPUT!$A$1,INPUT!$A$5:$AJ$21,22,FALSE)</f>
        <v>226239</v>
      </c>
      <c r="D12" s="24">
        <f>VLOOKUP(INPUT!$A$1,INPUT!$A$5:$AJ$21,23,FALSE)</f>
        <v>127415</v>
      </c>
      <c r="E12" s="26">
        <f>VLOOKUP(INPUT!$A$1,INPUT!$A$5:$AJ$21,24,FALSE)</f>
        <v>-33615</v>
      </c>
      <c r="F12" s="24">
        <f>VLOOKUP(INPUT!$A$1,INPUT!$A$5:$AJ$21,25,FALSE)</f>
        <v>113470</v>
      </c>
      <c r="G12" s="24">
        <f>VLOOKUP(INPUT!$A$1,INPUT!$A$5:$AJ$21,26,FALSE)</f>
        <v>387</v>
      </c>
    </row>
    <row r="13" spans="1:7" ht="27.95" customHeight="1" x14ac:dyDescent="0.2">
      <c r="A13" s="40"/>
      <c r="B13" s="3">
        <f>$B$5</f>
        <v>2014</v>
      </c>
      <c r="C13" s="24">
        <f>VLOOKUP(INPUT!$A$2,INPUT!$A$5:$AJ$21,22,FALSE)</f>
        <v>394969</v>
      </c>
      <c r="D13" s="24">
        <f>VLOOKUP(INPUT!$A$2,INPUT!$A$5:$AJ$21,23,FALSE)</f>
        <v>128654</v>
      </c>
      <c r="E13" s="26">
        <f>VLOOKUP(INPUT!$A$2,INPUT!$A$5:$AJ$21,24,FALSE)</f>
        <v>-19703</v>
      </c>
      <c r="F13" s="24">
        <f>VLOOKUP(INPUT!$A$2,INPUT!$A$5:$AJ$21,25,FALSE)</f>
        <v>368789</v>
      </c>
      <c r="G13" s="24">
        <f>VLOOKUP(INPUT!$A$2,INPUT!$A$5:$AJ$21,26,FALSE)</f>
        <v>2201</v>
      </c>
    </row>
    <row r="14" spans="1:7" ht="27.95" customHeight="1" x14ac:dyDescent="0.2">
      <c r="A14" s="39" t="s">
        <v>11</v>
      </c>
      <c r="B14" s="3">
        <f>$B$4</f>
        <v>2015</v>
      </c>
      <c r="C14" s="24">
        <f>VLOOKUP(INPUT!$A$1,INPUT!$A$5:$AJ$21,27,FALSE)</f>
        <v>29720.146000000001</v>
      </c>
      <c r="D14" s="24">
        <f>VLOOKUP(INPUT!$A$1,INPUT!$A$5:$AJ$21,28,FALSE)</f>
        <v>16711.988000000001</v>
      </c>
      <c r="E14" s="26">
        <f>VLOOKUP(INPUT!$A$1,INPUT!$A$5:$AJ$21,29,FALSE)</f>
        <v>-10884.284</v>
      </c>
      <c r="F14" s="24">
        <f>VLOOKUP(INPUT!$A$1,INPUT!$A$5:$AJ$21,30,FALSE)</f>
        <v>14148.878830000001</v>
      </c>
      <c r="G14" s="24">
        <f>VLOOKUP(INPUT!$A$1,INPUT!$A$5:$AJ$21,31,FALSE)</f>
        <v>5229.5266600000004</v>
      </c>
    </row>
    <row r="15" spans="1:7" ht="27.95" customHeight="1" x14ac:dyDescent="0.2">
      <c r="A15" s="40"/>
      <c r="B15" s="3">
        <f>$B$5</f>
        <v>2014</v>
      </c>
      <c r="C15" s="24">
        <f>VLOOKUP(INPUT!$A$2,INPUT!$A$5:$AJ$21,27,FALSE)</f>
        <v>53329</v>
      </c>
      <c r="D15" s="24">
        <f>VLOOKUP(INPUT!$A$2,INPUT!$A$5:$AJ$21,28,FALSE)</f>
        <v>17116</v>
      </c>
      <c r="E15" s="26">
        <f>VLOOKUP(INPUT!$A$2,INPUT!$A$5:$AJ$21,29,FALSE)</f>
        <v>1940</v>
      </c>
      <c r="F15" s="24">
        <f>VLOOKUP(INPUT!$A$2,INPUT!$A$5:$AJ$21,30,FALSE)</f>
        <v>43156</v>
      </c>
      <c r="G15" s="24">
        <f>VLOOKUP(INPUT!$A$2,INPUT!$A$5:$AJ$21,31,FALSE)</f>
        <v>16155</v>
      </c>
    </row>
    <row r="16" spans="1:7" ht="27.95" customHeight="1" x14ac:dyDescent="0.2">
      <c r="A16" s="39" t="s">
        <v>12</v>
      </c>
      <c r="B16" s="3">
        <f>$B$4</f>
        <v>2015</v>
      </c>
      <c r="C16" s="24">
        <f>VLOOKUP(INPUT!$A$1,INPUT!$A$5:$AJ$21,32,FALSE)</f>
        <v>483764</v>
      </c>
      <c r="D16" s="24">
        <f>VLOOKUP(INPUT!$A$1,INPUT!$A$5:$AJ$21,33,FALSE)</f>
        <v>271611</v>
      </c>
      <c r="E16" s="26">
        <f>VLOOKUP(INPUT!$A$1,INPUT!$A$5:$AJ$21,34,FALSE)</f>
        <v>-56670</v>
      </c>
      <c r="F16" s="24">
        <f>VLOOKUP(INPUT!$A$1,INPUT!$A$5:$AJ$21,35,FALSE)</f>
        <v>314055</v>
      </c>
      <c r="G16" s="24">
        <f>VLOOKUP(INPUT!$A$1,INPUT!$A$5:$AJ$21,36,FALSE)</f>
        <v>32402</v>
      </c>
    </row>
    <row r="17" spans="1:7" ht="27.95" customHeight="1" x14ac:dyDescent="0.2">
      <c r="A17" s="40"/>
      <c r="B17" s="3">
        <f>$B$5</f>
        <v>2014</v>
      </c>
      <c r="C17" s="24">
        <f>VLOOKUP(INPUT!$A$2,INPUT!$A$5:$AJ$21,32,FALSE)</f>
        <v>882281</v>
      </c>
      <c r="D17" s="24">
        <f>VLOOKUP(INPUT!$A$2,INPUT!$A$5:$AJ$21,33,FALSE)</f>
        <v>295963</v>
      </c>
      <c r="E17" s="26">
        <f>VLOOKUP(INPUT!$A$2,INPUT!$A$5:$AJ$21,34,FALSE)</f>
        <v>-39802</v>
      </c>
      <c r="F17" s="24">
        <f>VLOOKUP(INPUT!$A$2,INPUT!$A$5:$AJ$21,35,FALSE)</f>
        <v>720965</v>
      </c>
      <c r="G17" s="24">
        <f>VLOOKUP(INPUT!$A$2,INPUT!$A$5:$AJ$21,36,FALSE)</f>
        <v>85751</v>
      </c>
    </row>
    <row r="19" spans="1:7" ht="15" x14ac:dyDescent="0.2">
      <c r="A19" s="5" t="str">
        <f>"*"&amp;INPUT!C1</f>
        <v>*CSX Transportation Inc.'s quarter ended on September 25, 2015.</v>
      </c>
      <c r="B19" s="5"/>
      <c r="C19" s="5"/>
    </row>
    <row r="20" spans="1:7" ht="15" x14ac:dyDescent="0.2">
      <c r="A20" s="5" t="str">
        <f>"*"&amp;INPUT!C2</f>
        <v>*CSX Transportation Inc.'s quarter ended on September 26, 2014.</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Alexander Dusenberry</cp:lastModifiedBy>
  <cp:lastPrinted>2015-11-03T15:54:49Z</cp:lastPrinted>
  <dcterms:created xsi:type="dcterms:W3CDTF">2013-02-13T08:02:04Z</dcterms:created>
  <dcterms:modified xsi:type="dcterms:W3CDTF">2015-11-03T16:40:46Z</dcterms:modified>
</cp:coreProperties>
</file>